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сайт размещено 04.11.2025\"/>
    </mc:Choice>
  </mc:AlternateContent>
  <bookViews>
    <workbookView xWindow="0" yWindow="0" windowWidth="28800" windowHeight="11235"/>
  </bookViews>
  <sheets>
    <sheet name="Приложение №1" sheetId="1" r:id="rId1"/>
  </sheets>
  <externalReferences>
    <externalReference r:id="rId2"/>
    <externalReference r:id="rId3"/>
  </externalReferences>
  <definedNames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F89" i="1"/>
  <c r="F88" i="1"/>
  <c r="F87" i="1"/>
  <c r="F86" i="1"/>
  <c r="F85" i="1"/>
  <c r="F84" i="1"/>
  <c r="F82" i="1"/>
  <c r="F81" i="1"/>
  <c r="F80" i="1"/>
  <c r="F78" i="1"/>
  <c r="F77" i="1"/>
  <c r="F76" i="1"/>
  <c r="F74" i="1"/>
  <c r="F72" i="1"/>
  <c r="F71" i="1"/>
  <c r="F70" i="1"/>
  <c r="F69" i="1"/>
  <c r="F68" i="1"/>
  <c r="F67" i="1"/>
  <c r="F66" i="1"/>
  <c r="F65" i="1"/>
  <c r="F64" i="1"/>
  <c r="F63" i="1"/>
  <c r="F61" i="1"/>
  <c r="F60" i="1"/>
  <c r="F59" i="1"/>
  <c r="F58" i="1"/>
  <c r="F57" i="1"/>
  <c r="F56" i="1"/>
  <c r="F55" i="1"/>
  <c r="F54" i="1"/>
  <c r="F53" i="1"/>
  <c r="F52" i="1"/>
  <c r="F51" i="1"/>
  <c r="F50" i="1"/>
  <c r="F46" i="1" s="1"/>
  <c r="F49" i="1"/>
  <c r="F48" i="1"/>
  <c r="F47" i="1"/>
  <c r="F45" i="1"/>
  <c r="F44" i="1"/>
  <c r="F43" i="1"/>
  <c r="F42" i="1"/>
  <c r="F41" i="1"/>
  <c r="F40" i="1"/>
  <c r="F39" i="1"/>
  <c r="F38" i="1"/>
  <c r="F37" i="1" s="1"/>
  <c r="F36" i="1"/>
  <c r="F35" i="1"/>
  <c r="F33" i="1"/>
  <c r="F32" i="1"/>
  <c r="F31" i="1"/>
  <c r="F30" i="1"/>
  <c r="F29" i="1"/>
  <c r="F28" i="1"/>
  <c r="F27" i="1"/>
  <c r="F26" i="1"/>
  <c r="F24" i="1"/>
  <c r="F23" i="1"/>
  <c r="F22" i="1"/>
  <c r="F20" i="1"/>
  <c r="F19" i="1"/>
  <c r="F16" i="1"/>
  <c r="F14" i="1"/>
  <c r="F12" i="1"/>
  <c r="F10" i="1"/>
  <c r="F9" i="1"/>
  <c r="F7" i="1"/>
  <c r="F6" i="1"/>
  <c r="F25" i="1" l="1"/>
  <c r="F5" i="1" s="1"/>
  <c r="F90" i="1" s="1"/>
  <c r="C89" i="1" l="1"/>
  <c r="C82" i="1"/>
  <c r="C81" i="1"/>
  <c r="C78" i="1"/>
  <c r="C46" i="1"/>
  <c r="C45" i="1"/>
  <c r="E45" i="1" s="1"/>
  <c r="C44" i="1"/>
  <c r="E44" i="1" s="1"/>
  <c r="C43" i="1"/>
  <c r="E43" i="1" s="1"/>
  <c r="C41" i="1"/>
  <c r="E41" i="1" s="1"/>
  <c r="C40" i="1"/>
  <c r="C37" i="1"/>
  <c r="C36" i="1"/>
  <c r="D36" i="1" s="1"/>
  <c r="C35" i="1"/>
  <c r="E35" i="1" s="1"/>
  <c r="C33" i="1"/>
  <c r="C32" i="1"/>
  <c r="C31" i="1"/>
  <c r="D31" i="1" s="1"/>
  <c r="C30" i="1"/>
  <c r="C29" i="1"/>
  <c r="C28" i="1"/>
  <c r="C27" i="1"/>
  <c r="C26" i="1" s="1"/>
  <c r="C24" i="1"/>
  <c r="D24" i="1" s="1"/>
  <c r="C23" i="1"/>
  <c r="C22" i="1"/>
  <c r="C20" i="1"/>
  <c r="C19" i="1"/>
  <c r="C16" i="1"/>
  <c r="C14" i="1"/>
  <c r="C10" i="1"/>
  <c r="E10" i="1" s="1"/>
  <c r="C7" i="1"/>
  <c r="D89" i="1"/>
  <c r="E88" i="1"/>
  <c r="D88" i="1"/>
  <c r="D87" i="1"/>
  <c r="E86" i="1"/>
  <c r="D86" i="1"/>
  <c r="E85" i="1"/>
  <c r="D85" i="1"/>
  <c r="E84" i="1"/>
  <c r="D84" i="1"/>
  <c r="E83" i="1"/>
  <c r="D83" i="1"/>
  <c r="E82" i="1"/>
  <c r="E80" i="1" s="1"/>
  <c r="E78" i="1" s="1"/>
  <c r="D79" i="1"/>
  <c r="D78" i="1"/>
  <c r="E77" i="1"/>
  <c r="D76" i="1"/>
  <c r="D75" i="1"/>
  <c r="E74" i="1"/>
  <c r="D74" i="1"/>
  <c r="D73" i="1"/>
  <c r="E72" i="1"/>
  <c r="D72" i="1"/>
  <c r="E70" i="1"/>
  <c r="E69" i="1"/>
  <c r="D69" i="1"/>
  <c r="E68" i="1"/>
  <c r="D67" i="1"/>
  <c r="E66" i="1"/>
  <c r="E65" i="1"/>
  <c r="D65" i="1"/>
  <c r="E64" i="1"/>
  <c r="D64" i="1"/>
  <c r="D63" i="1"/>
  <c r="D62" i="1"/>
  <c r="E61" i="1"/>
  <c r="D61" i="1"/>
  <c r="E60" i="1"/>
  <c r="E59" i="1"/>
  <c r="E58" i="1"/>
  <c r="D58" i="1"/>
  <c r="E57" i="1"/>
  <c r="D57" i="1"/>
  <c r="D56" i="1"/>
  <c r="E55" i="1"/>
  <c r="D55" i="1"/>
  <c r="E54" i="1"/>
  <c r="D54" i="1"/>
  <c r="E53" i="1"/>
  <c r="E52" i="1"/>
  <c r="E51" i="1"/>
  <c r="D51" i="1"/>
  <c r="E50" i="1"/>
  <c r="E49" i="1"/>
  <c r="E48" i="1"/>
  <c r="E46" i="1"/>
  <c r="D45" i="1"/>
  <c r="D43" i="1"/>
  <c r="D41" i="1"/>
  <c r="E38" i="1"/>
  <c r="D38" i="1"/>
  <c r="E37" i="1"/>
  <c r="E36" i="1"/>
  <c r="D33" i="1"/>
  <c r="D32" i="1"/>
  <c r="E30" i="1"/>
  <c r="D30" i="1"/>
  <c r="E27" i="1"/>
  <c r="D27" i="1"/>
  <c r="E24" i="1"/>
  <c r="E23" i="1"/>
  <c r="D23" i="1"/>
  <c r="E22" i="1"/>
  <c r="E21" i="1"/>
  <c r="D21" i="1"/>
  <c r="E20" i="1"/>
  <c r="D20" i="1"/>
  <c r="E18" i="1"/>
  <c r="D18" i="1"/>
  <c r="E17" i="1"/>
  <c r="D17" i="1"/>
  <c r="E16" i="1"/>
  <c r="E15" i="1"/>
  <c r="D15" i="1"/>
  <c r="E13" i="1"/>
  <c r="D13" i="1"/>
  <c r="E12" i="1"/>
  <c r="D12" i="1"/>
  <c r="E8" i="1"/>
  <c r="D8" i="1"/>
  <c r="E7" i="1"/>
  <c r="C6" i="1" l="1"/>
  <c r="C39" i="1"/>
  <c r="D39" i="1" s="1"/>
  <c r="D46" i="1"/>
  <c r="D35" i="1"/>
  <c r="D29" i="1"/>
  <c r="C9" i="1"/>
  <c r="C42" i="1"/>
  <c r="E42" i="1" s="1"/>
  <c r="D10" i="1"/>
  <c r="D44" i="1"/>
  <c r="D14" i="1"/>
  <c r="E14" i="1"/>
  <c r="E29" i="1"/>
  <c r="D19" i="1"/>
  <c r="E19" i="1"/>
  <c r="D68" i="1"/>
  <c r="D52" i="1"/>
  <c r="E40" i="1"/>
  <c r="D48" i="1"/>
  <c r="D16" i="1"/>
  <c r="D7" i="1"/>
  <c r="D37" i="1"/>
  <c r="D53" i="1"/>
  <c r="D59" i="1"/>
  <c r="D77" i="1"/>
  <c r="D28" i="1"/>
  <c r="D49" i="1"/>
  <c r="D70" i="1"/>
  <c r="E28" i="1"/>
  <c r="D82" i="1"/>
  <c r="D60" i="1"/>
  <c r="D22" i="1"/>
  <c r="D42" i="1"/>
  <c r="D50" i="1"/>
  <c r="D66" i="1"/>
  <c r="E39" i="1" l="1"/>
  <c r="C25" i="1"/>
  <c r="C5" i="1" s="1"/>
  <c r="C90" i="1" s="1"/>
  <c r="D9" i="1"/>
  <c r="E9" i="1"/>
  <c r="E81" i="1"/>
  <c r="E79" i="1" s="1"/>
  <c r="D81" i="1"/>
  <c r="E6" i="1"/>
  <c r="E26" i="1"/>
  <c r="D26" i="1"/>
  <c r="D6" i="1"/>
  <c r="E25" i="1" l="1"/>
  <c r="D25" i="1"/>
  <c r="E5" i="1" l="1"/>
  <c r="D5" i="1"/>
  <c r="E90" i="1" l="1"/>
  <c r="D90" i="1"/>
</calcChain>
</file>

<file path=xl/sharedStrings.xml><?xml version="1.0" encoding="utf-8"?>
<sst xmlns="http://schemas.openxmlformats.org/spreadsheetml/2006/main" count="175" uniqueCount="175">
  <si>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</si>
  <si>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</si>
  <si>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</si>
  <si>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</si>
  <si>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Уточнённый бюджет на 2025 год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</si>
  <si>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</si>
  <si>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</si>
  <si>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</si>
  <si>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</si>
  <si>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</si>
  <si>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</si>
  <si>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</si>
  <si>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</si>
  <si>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</si>
  <si>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</si>
  <si>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</si>
  <si>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</si>
  <si>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</si>
  <si>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</si>
  <si>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</si>
  <si>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</si>
  <si>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</si>
  <si>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</si>
  <si>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</si>
  <si>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</si>
  <si>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</si>
  <si>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</si>
  <si>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</si>
  <si>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</si>
  <si>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</si>
  <si>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</si>
  <si>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</si>
  <si>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</si>
  <si>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</si>
  <si>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</si>
  <si>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</si>
  <si>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</si>
  <si>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</si>
  <si>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</si>
  <si>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</si>
  <si>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</si>
  <si>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</si>
  <si>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</si>
  <si>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</si>
  <si>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</si>
  <si>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</si>
  <si>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</si>
  <si>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</si>
  <si>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</si>
  <si>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</si>
  <si>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</si>
  <si>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</si>
  <si>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</si>
  <si>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</si>
  <si>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</si>
  <si>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</si>
  <si>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</si>
  <si>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</si>
  <si>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</si>
  <si>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</si>
  <si>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</si>
  <si>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</si>
  <si>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</si>
  <si>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</si>
  <si>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</si>
  <si>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</si>
  <si>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</si>
  <si>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</si>
  <si>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</si>
  <si>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</si>
  <si>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</si>
  <si>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</si>
  <si>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бюджетов городских округов</t>
  </si>
  <si>
    <t>000 1 13 02994 04 0000 130</t>
  </si>
  <si>
    <t>Прочие доходы от компенсации затрат бюджетов городских округов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</si>
  <si>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</si>
  <si>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</si>
  <si>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</si>
  <si>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</si>
  <si>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</si>
  <si>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</si>
  <si>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</si>
  <si>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</si>
  <si>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</si>
  <si>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</si>
  <si>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</si>
  <si>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</si>
  <si>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</si>
  <si>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</si>
  <si>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</si>
  <si>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</si>
  <si>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</si>
  <si>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</si>
  <si>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</si>
  <si>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</si>
  <si>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</si>
  <si>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</si>
  <si>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</si>
  <si>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</si>
  <si>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</si>
  <si>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</si>
  <si>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</si>
  <si>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</si>
  <si>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000 1 16 01132 01 0000 140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</si>
  <si>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</si>
  <si>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</si>
  <si>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</si>
  <si>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</si>
  <si>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</si>
  <si>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</si>
  <si>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</si>
  <si>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</si>
  <si>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</si>
  <si>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</si>
  <si>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</si>
  <si>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</si>
  <si>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</si>
  <si>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</si>
  <si>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</si>
  <si>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</si>
  <si>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</si>
  <si>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</si>
  <si>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</si>
  <si>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</si>
  <si>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</si>
  <si>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</si>
  <si>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</si>
  <si>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</si>
  <si>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</si>
  <si>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</si>
  <si>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</si>
  <si>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</si>
  <si>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</si>
  <si>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</si>
  <si>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</si>
  <si>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</si>
  <si>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</si>
  <si>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</si>
  <si>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</si>
  <si>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</si>
  <si>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</si>
  <si>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</si>
  <si>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</si>
  <si>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</si>
  <si>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</si>
  <si>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</si>
  <si>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</si>
  <si>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</si>
  <si>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</si>
  <si>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</si>
  <si>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</si>
  <si>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</si>
  <si>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</si>
  <si>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</si>
  <si>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</si>
  <si>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</si>
  <si>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</si>
  <si>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</si>
  <si>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</si>
  <si>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</si>
  <si>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</si>
  <si>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</si>
  <si>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</si>
  <si>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</si>
  <si>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</si>
  <si>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</si>
  <si>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</si>
  <si>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</si>
  <si>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</si>
  <si>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</si>
  <si>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</si>
  <si>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</si>
  <si>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Утвержденный план от 25.11.2025                № 873-VII                         (в рублях)</t>
  </si>
  <si>
    <t>000 1 05 02000 02 0000 110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</si>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</sst>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1" x14ac:knownFonts="1">
    <font>
      <sz val="10"/>
      <color theme="1"/>
      <name val="Arial Cyr"/>
    </font>
    <font>
      <sz val="10"/>
      <name val="Arial Cyr"/>
    </font>
    <font>
      <b/>
      <sz val="10"/>
      <name val="Arial Cyr"/>
    </font>
    <font>
      <i/>
      <sz val="8"/>
      <color indexed="23"/>
      <name val="Arial Cyr"/>
    </font>
    <font>
      <sz val="10"/>
      <name val="Arial"/>
    </font>
    <font>
      <sz val="10"/>
      <color indexed="62"/>
      <name val="Arial Cyr"/>
    </font>
    <font>
      <sz val="14"/>
      <name val="Times New Roman"/>
    </font>
    <font>
      <b/>
      <sz val="12"/>
      <name val="Times New Roman"/>
    </font>
    <font>
      <sz val="12"/>
      <name val="Times New Roman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9"/>
        <bgColor indexed="45"/>
      </patternFill>
    </fill>
    <fill>
      <patternFill patternType="solid">
        <fgColor indexed="27"/>
        <bgColor indexed="27"/>
      </patternFill>
    </fill>
    <fill>
      <patternFill patternType="solid">
        <fgColor indexed="22"/>
        <bgColor rgb="FFC3D69B"/>
      </patternFill>
    </fill>
    <fill>
      <patternFill patternType="solid">
        <fgColor indexed="51"/>
        <bgColor indexed="5"/>
      </patternFill>
    </fill>
    <fill>
      <patternFill patternType="solid">
        <fgColor indexed="31"/>
        <bgColor indexed="22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43"/>
        <bgColor indexed="43"/>
      </patternFill>
    </fill>
    <fill>
      <patternFill patternType="solid">
        <fgColor indexed="43"/>
        <bgColor rgb="FFEBF1DE"/>
      </patternFill>
    </fill>
    <fill>
      <patternFill patternType="solid">
        <fgColor theme="0"/>
        <bgColor theme="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0">
    <xf numFmtId="0" fontId="0" fillId="0" borderId="0"/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2" borderId="1">
      <alignment horizontal="right" vertical="top"/>
    </xf>
    <xf numFmtId="0" fontId="1" fillId="2" borderId="1">
      <alignment horizontal="right" vertical="top"/>
    </xf>
    <xf numFmtId="49" fontId="1" fillId="3" borderId="1">
      <alignment horizontal="left" vertical="top" wrapText="1"/>
    </xf>
    <xf numFmtId="49" fontId="1" fillId="3" borderId="1">
      <alignment horizontal="left" vertical="top" wrapText="1"/>
    </xf>
    <xf numFmtId="49" fontId="1" fillId="4" borderId="1">
      <alignment horizontal="left" vertical="top"/>
    </xf>
    <xf numFmtId="49" fontId="2" fillId="0" borderId="1">
      <alignment horizontal="left" vertical="top"/>
    </xf>
    <xf numFmtId="49" fontId="2" fillId="0" borderId="1">
      <alignment horizontal="left" vertical="top"/>
    </xf>
    <xf numFmtId="49" fontId="1" fillId="4" borderId="1">
      <alignment horizontal="left" vertical="top"/>
    </xf>
    <xf numFmtId="0" fontId="1" fillId="5" borderId="1">
      <alignment horizontal="left" vertical="top" wrapText="1"/>
    </xf>
    <xf numFmtId="0" fontId="1" fillId="5" borderId="1">
      <alignment horizontal="left" vertical="top" wrapText="1"/>
    </xf>
    <xf numFmtId="0" fontId="2" fillId="0" borderId="1">
      <alignment horizontal="left" vertical="top" wrapText="1"/>
    </xf>
    <xf numFmtId="0" fontId="2" fillId="0" borderId="1">
      <alignment horizontal="left" vertical="top" wrapText="1"/>
    </xf>
    <xf numFmtId="0" fontId="1" fillId="6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1" fillId="8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3" fillId="0" borderId="0">
      <alignment horizontal="left" vertical="top"/>
    </xf>
    <xf numFmtId="0" fontId="1" fillId="0" borderId="0"/>
    <xf numFmtId="0" fontId="4" fillId="0" borderId="0"/>
    <xf numFmtId="0" fontId="4" fillId="0" borderId="0"/>
    <xf numFmtId="0" fontId="1" fillId="5" borderId="2">
      <alignment horizontal="right" vertical="top"/>
    </xf>
    <xf numFmtId="0" fontId="1" fillId="6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7" borderId="2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5" fillId="9" borderId="1">
      <alignment horizontal="left" vertical="top" wrapText="1"/>
    </xf>
    <xf numFmtId="49" fontId="1" fillId="0" borderId="1">
      <alignment horizontal="left" vertical="top" wrapText="1"/>
    </xf>
    <xf numFmtId="49" fontId="1" fillId="0" borderId="1">
      <alignment horizontal="left" vertical="top" wrapText="1"/>
    </xf>
    <xf numFmtId="49" fontId="5" fillId="10" borderId="1">
      <alignment horizontal="left" vertical="top" wrapText="1"/>
    </xf>
    <xf numFmtId="49" fontId="5" fillId="10" borderId="1">
      <alignment horizontal="left" vertical="top" wrapText="1"/>
    </xf>
    <xf numFmtId="0" fontId="1" fillId="3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left" vertical="top" wrapText="1"/>
    </xf>
    <xf numFmtId="0" fontId="1" fillId="3" borderId="1">
      <alignment horizontal="left" vertical="top" wrapText="1"/>
    </xf>
    <xf numFmtId="0" fontId="1" fillId="3" borderId="1">
      <alignment horizontal="left" vertical="top" wrapText="1"/>
    </xf>
  </cellStyleXfs>
  <cellXfs count="36">
    <xf numFmtId="0" fontId="0" fillId="0" borderId="0" xfId="0"/>
    <xf numFmtId="0" fontId="0" fillId="11" borderId="0" xfId="0" applyFill="1"/>
    <xf numFmtId="0" fontId="6" fillId="0" borderId="0" xfId="0" applyFont="1"/>
    <xf numFmtId="0" fontId="6" fillId="11" borderId="0" xfId="0" applyFont="1" applyFill="1"/>
    <xf numFmtId="0" fontId="7" fillId="0" borderId="1" xfId="30" applyFont="1" applyBorder="1" applyAlignment="1">
      <alignment horizontal="center" vertical="center" wrapText="1"/>
    </xf>
    <xf numFmtId="0" fontId="7" fillId="11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3" fontId="7" fillId="11" borderId="1" xfId="0" applyNumberFormat="1" applyFont="1" applyFill="1" applyBorder="1" applyAlignment="1">
      <alignment horizontal="center" vertical="center" wrapText="1"/>
    </xf>
    <xf numFmtId="49" fontId="7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left" vertical="center" wrapText="1"/>
    </xf>
    <xf numFmtId="3" fontId="7" fillId="0" borderId="1" xfId="30" applyNumberFormat="1" applyFont="1" applyBorder="1" applyAlignment="1" applyProtection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1" xfId="30" applyFont="1" applyBorder="1" applyAlignment="1">
      <alignment horizontal="left" vertical="center" wrapText="1"/>
    </xf>
    <xf numFmtId="49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 applyProtection="1">
      <alignment horizontal="left" vertical="center" wrapText="1"/>
    </xf>
    <xf numFmtId="3" fontId="8" fillId="0" borderId="1" xfId="30" applyNumberFormat="1" applyFont="1" applyBorder="1" applyAlignment="1" applyProtection="1">
      <alignment horizontal="center" vertical="center" wrapText="1"/>
    </xf>
    <xf numFmtId="49" fontId="8" fillId="0" borderId="1" xfId="30" applyNumberFormat="1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/>
    </xf>
    <xf numFmtId="1" fontId="8" fillId="0" borderId="1" xfId="30" applyNumberFormat="1" applyFont="1" applyBorder="1" applyAlignment="1">
      <alignment horizontal="left" vertical="center" wrapText="1"/>
    </xf>
    <xf numFmtId="0" fontId="8" fillId="0" borderId="1" xfId="30" applyFont="1" applyBorder="1" applyAlignment="1">
      <alignment horizontal="left" vertical="center" wrapText="1"/>
    </xf>
    <xf numFmtId="1" fontId="7" fillId="0" borderId="1" xfId="30" applyNumberFormat="1" applyFont="1" applyBorder="1" applyAlignment="1">
      <alignment horizontal="left" vertical="center" wrapText="1"/>
    </xf>
    <xf numFmtId="164" fontId="8" fillId="0" borderId="1" xfId="30" applyNumberFormat="1" applyFont="1" applyBorder="1" applyAlignment="1" applyProtection="1">
      <alignment horizontal="left" vertical="center" wrapText="1"/>
    </xf>
    <xf numFmtId="0" fontId="8" fillId="0" borderId="1" xfId="28" applyFont="1" applyBorder="1" applyAlignment="1">
      <alignment horizontal="left" vertical="center" wrapText="1"/>
    </xf>
    <xf numFmtId="49" fontId="8" fillId="0" borderId="4" xfId="30" applyNumberFormat="1" applyFont="1" applyBorder="1" applyAlignment="1" applyProtection="1">
      <alignment horizontal="left" vertical="center" wrapText="1"/>
    </xf>
    <xf numFmtId="4" fontId="7" fillId="0" borderId="1" xfId="30" applyNumberFormat="1" applyFont="1" applyBorder="1" applyAlignment="1" applyProtection="1">
      <alignment horizontal="center" vertical="center" wrapText="1"/>
    </xf>
    <xf numFmtId="4" fontId="8" fillId="0" borderId="1" xfId="30" applyNumberFormat="1" applyFont="1" applyBorder="1" applyAlignment="1" applyProtection="1">
      <alignment horizontal="center" vertical="center" wrapText="1"/>
    </xf>
    <xf numFmtId="49" fontId="7" fillId="0" borderId="1" xfId="30" applyNumberFormat="1" applyFont="1" applyBorder="1" applyAlignment="1" applyProtection="1">
      <alignment horizontal="center" vertical="center"/>
    </xf>
    <xf numFmtId="4" fontId="7" fillId="0" borderId="1" xfId="30" applyNumberFormat="1" applyFont="1" applyBorder="1" applyAlignment="1" applyProtection="1">
      <alignment horizontal="center" vertical="center"/>
    </xf>
    <xf numFmtId="49" fontId="9" fillId="0" borderId="1" xfId="30" applyNumberFormat="1" applyFont="1" applyFill="1" applyBorder="1" applyAlignment="1" applyProtection="1">
      <alignment horizontal="center" vertical="center" wrapText="1"/>
    </xf>
    <xf numFmtId="49" fontId="9" fillId="0" borderId="1" xfId="30" applyNumberFormat="1" applyFont="1" applyFill="1" applyBorder="1" applyAlignment="1" applyProtection="1">
      <alignment horizontal="left" vertical="center" wrapText="1"/>
    </xf>
    <xf numFmtId="3" fontId="10" fillId="0" borderId="1" xfId="30" applyNumberFormat="1" applyFont="1" applyFill="1" applyBorder="1" applyAlignment="1" applyProtection="1">
      <alignment horizontal="center" vertical="center" wrapText="1"/>
    </xf>
    <xf numFmtId="3" fontId="9" fillId="0" borderId="1" xfId="30" applyNumberFormat="1" applyFont="1" applyFill="1" applyBorder="1" applyAlignment="1" applyProtection="1">
      <alignment horizontal="center" vertical="center" wrapText="1"/>
    </xf>
    <xf numFmtId="4" fontId="10" fillId="0" borderId="1" xfId="30" applyNumberFormat="1" applyFont="1" applyFill="1" applyBorder="1" applyAlignment="1" applyProtection="1">
      <alignment horizontal="center" vertical="center" wrapText="1"/>
    </xf>
    <xf numFmtId="4" fontId="9" fillId="0" borderId="1" xfId="30" applyNumberFormat="1" applyFont="1" applyFill="1" applyBorder="1" applyAlignment="1" applyProtection="1">
      <alignment horizontal="center" vertical="center" wrapText="1"/>
    </xf>
    <xf numFmtId="4" fontId="10" fillId="0" borderId="1" xfId="30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Для строк" xfId="7"/>
    <cellStyle name="Для строк 2" xfId="8"/>
    <cellStyle name="Заголовки полей" xfId="9"/>
    <cellStyle name="Заголовки полей [печать]" xfId="10"/>
    <cellStyle name="Заголовки полей [печать] 2" xfId="11"/>
    <cellStyle name="Заголовки полей 2" xfId="12"/>
    <cellStyle name="Заголовок меры" xfId="13"/>
    <cellStyle name="Заголовок меры 2" xfId="14"/>
    <cellStyle name="Заголовок показателя [печать]" xfId="15"/>
    <cellStyle name="Заголовок показателя [печать] 2" xfId="16"/>
    <cellStyle name="Заголовок показателя константы" xfId="17"/>
    <cellStyle name="Заголовок показателя константы 2" xfId="18"/>
    <cellStyle name="Заголовок результата расчета" xfId="19"/>
    <cellStyle name="Заголовок результата расчета 2" xfId="20"/>
    <cellStyle name="Заголовок свободного показателя" xfId="21"/>
    <cellStyle name="Заголовок свободного показателя 2" xfId="22"/>
    <cellStyle name="Значение фильтра" xfId="23"/>
    <cellStyle name="Значение фильтра [печать]" xfId="24"/>
    <cellStyle name="Значение фильтра [печать] 2" xfId="25"/>
    <cellStyle name="Значение фильтра 2" xfId="26"/>
    <cellStyle name="Информация о задаче" xfId="27"/>
    <cellStyle name="Обычный" xfId="0" builtinId="0"/>
    <cellStyle name="Обычный 2" xfId="28"/>
    <cellStyle name="Обычный 2 2" xfId="29"/>
    <cellStyle name="Обычный 3" xfId="30"/>
    <cellStyle name="Отдельная ячейка" xfId="31"/>
    <cellStyle name="Отдельная ячейка - константа" xfId="32"/>
    <cellStyle name="Отдельная ячейка - константа [печать]" xfId="33"/>
    <cellStyle name="Отдельная ячейка - константа [печать] 2" xfId="34"/>
    <cellStyle name="Отдельная ячейка [печать]" xfId="35"/>
    <cellStyle name="Отдельная ячейка [печать] 2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Свойства элементов измерения" xfId="40"/>
    <cellStyle name="Свойства элементов измерения [печать]" xfId="41"/>
    <cellStyle name="Свойства элементов измерения [печать] 2" xfId="42"/>
    <cellStyle name="Свойства элементов измерения 2" xfId="43"/>
    <cellStyle name="Свойства элементов измерения 3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90"/>
  <sheetViews>
    <sheetView tabSelected="1" topLeftCell="A82" workbookViewId="0">
      <selection activeCell="E11" sqref="E11"/>
    </sheetView>
  </sheetViews>
  <sheetFormatPr defaultRowHeight="18.75" x14ac:dyDescent="0.3"/>
  <cols>
    <col min="1" max="1" width="31.7109375" customWidth="1"/>
    <col min="2" max="2" width="110.140625" customWidth="1"/>
    <col min="3" max="3" width="20" style="1" customWidth="1"/>
    <col min="4" max="4" width="17.42578125" style="2" customWidth="1"/>
    <col min="5" max="5" width="12.42578125" style="2" customWidth="1"/>
    <col min="6" max="6" width="17.85546875" style="3" customWidth="1"/>
  </cols>
  <sheetData>
    <row r="3" spans="1:6" ht="78.75" x14ac:dyDescent="0.2">
      <c r="A3" s="4" t="s">
        <v>0</v>
      </c>
      <c r="B3" s="4" t="s">
        <v>1</v>
      </c>
      <c r="C3" s="5" t="s">
        <v>172</v>
      </c>
      <c r="D3" s="6" t="s">
        <v>2</v>
      </c>
      <c r="E3" s="6" t="s">
        <v>3</v>
      </c>
      <c r="F3" s="5" t="s">
        <v>4</v>
      </c>
    </row>
    <row r="4" spans="1:6" ht="15.75" x14ac:dyDescent="0.2">
      <c r="A4" s="7">
        <v>1</v>
      </c>
      <c r="B4" s="7">
        <v>2</v>
      </c>
      <c r="C4" s="8">
        <v>3</v>
      </c>
      <c r="D4" s="7">
        <v>4</v>
      </c>
      <c r="E4" s="7">
        <v>5</v>
      </c>
      <c r="F4" s="8">
        <v>6</v>
      </c>
    </row>
    <row r="5" spans="1:6" ht="15.75" x14ac:dyDescent="0.2">
      <c r="A5" s="9" t="s">
        <v>5</v>
      </c>
      <c r="B5" s="10" t="s">
        <v>6</v>
      </c>
      <c r="C5" s="11">
        <f>C6+C25</f>
        <v>6039542222</v>
      </c>
      <c r="D5" s="12">
        <f t="shared" ref="D5:D69" si="0">F5-C5</f>
        <v>110863060</v>
      </c>
      <c r="E5" s="12">
        <f t="shared" ref="E5:E69" si="1">(F5/C5)*100-100</f>
        <v>1.8356202494315568</v>
      </c>
      <c r="F5" s="31">
        <f>F6+F25</f>
        <v>6150405282</v>
      </c>
    </row>
    <row r="6" spans="1:6" ht="15.75" x14ac:dyDescent="0.2">
      <c r="A6" s="9"/>
      <c r="B6" s="13" t="s">
        <v>7</v>
      </c>
      <c r="C6" s="11">
        <f>C7+C8+C9+C14+C22</f>
        <v>5517130772</v>
      </c>
      <c r="D6" s="12">
        <f t="shared" si="0"/>
        <v>110036000</v>
      </c>
      <c r="E6" s="12">
        <f t="shared" si="1"/>
        <v>1.9944424837352841</v>
      </c>
      <c r="F6" s="31">
        <f>F7+F8+F9+F14+F22</f>
        <v>5627166772</v>
      </c>
    </row>
    <row r="7" spans="1:6" ht="15.75" x14ac:dyDescent="0.2">
      <c r="A7" s="14" t="s">
        <v>8</v>
      </c>
      <c r="B7" s="15" t="s">
        <v>9</v>
      </c>
      <c r="C7" s="16">
        <f>3524079552+770671000</f>
        <v>4294750552</v>
      </c>
      <c r="D7" s="12">
        <f t="shared" si="0"/>
        <v>0</v>
      </c>
      <c r="E7" s="12">
        <f t="shared" si="1"/>
        <v>0</v>
      </c>
      <c r="F7" s="32">
        <f>3524079552+770671000</f>
        <v>4294750552</v>
      </c>
    </row>
    <row r="8" spans="1:6" ht="15.75" x14ac:dyDescent="0.2">
      <c r="A8" s="14" t="s">
        <v>10</v>
      </c>
      <c r="B8" s="17" t="s">
        <v>11</v>
      </c>
      <c r="C8" s="16">
        <v>14640000</v>
      </c>
      <c r="D8" s="18">
        <f t="shared" si="0"/>
        <v>0</v>
      </c>
      <c r="E8" s="18">
        <f t="shared" si="1"/>
        <v>0</v>
      </c>
      <c r="F8" s="32">
        <v>14640000</v>
      </c>
    </row>
    <row r="9" spans="1:6" ht="15.75" x14ac:dyDescent="0.2">
      <c r="A9" s="14" t="s">
        <v>12</v>
      </c>
      <c r="B9" s="17" t="s">
        <v>13</v>
      </c>
      <c r="C9" s="16">
        <f>C10+C12+C13</f>
        <v>841084690</v>
      </c>
      <c r="D9" s="18">
        <f t="shared" si="0"/>
        <v>110036000</v>
      </c>
      <c r="E9" s="18">
        <f t="shared" si="1"/>
        <v>13.082630240243702</v>
      </c>
      <c r="F9" s="32">
        <f>F10+F12+F13+F11</f>
        <v>951120690</v>
      </c>
    </row>
    <row r="10" spans="1:6" ht="15.75" x14ac:dyDescent="0.2">
      <c r="A10" s="14" t="s">
        <v>14</v>
      </c>
      <c r="B10" s="15" t="s">
        <v>15</v>
      </c>
      <c r="C10" s="16">
        <f>751451690+65000000</f>
        <v>816451690</v>
      </c>
      <c r="D10" s="18">
        <f t="shared" si="0"/>
        <v>110000000</v>
      </c>
      <c r="E10" s="18">
        <f t="shared" si="1"/>
        <v>13.472934326340848</v>
      </c>
      <c r="F10" s="32">
        <f>816451690+110000000</f>
        <v>926451690</v>
      </c>
    </row>
    <row r="11" spans="1:6" ht="15.75" x14ac:dyDescent="0.2">
      <c r="A11" s="29" t="s">
        <v>173</v>
      </c>
      <c r="B11" s="30" t="s">
        <v>174</v>
      </c>
      <c r="C11" s="16"/>
      <c r="D11" s="18">
        <f t="shared" si="0"/>
        <v>192000</v>
      </c>
      <c r="E11" s="18"/>
      <c r="F11" s="32">
        <v>192000</v>
      </c>
    </row>
    <row r="12" spans="1:6" ht="15.75" x14ac:dyDescent="0.2">
      <c r="A12" s="14" t="s">
        <v>16</v>
      </c>
      <c r="B12" s="15" t="s">
        <v>17</v>
      </c>
      <c r="C12" s="16">
        <v>191000</v>
      </c>
      <c r="D12" s="18">
        <f t="shared" si="0"/>
        <v>-156000</v>
      </c>
      <c r="E12" s="18">
        <f t="shared" si="1"/>
        <v>-81.675392670157066</v>
      </c>
      <c r="F12" s="32">
        <f>191000-156000</f>
        <v>35000</v>
      </c>
    </row>
    <row r="13" spans="1:6" ht="31.5" x14ac:dyDescent="0.2">
      <c r="A13" s="14" t="s">
        <v>18</v>
      </c>
      <c r="B13" s="15" t="s">
        <v>19</v>
      </c>
      <c r="C13" s="16">
        <v>24442000</v>
      </c>
      <c r="D13" s="18">
        <f t="shared" si="0"/>
        <v>0</v>
      </c>
      <c r="E13" s="18">
        <f t="shared" si="1"/>
        <v>0</v>
      </c>
      <c r="F13" s="32">
        <v>24442000</v>
      </c>
    </row>
    <row r="14" spans="1:6" ht="15.75" x14ac:dyDescent="0.2">
      <c r="A14" s="14" t="s">
        <v>20</v>
      </c>
      <c r="B14" s="19" t="s">
        <v>21</v>
      </c>
      <c r="C14" s="16">
        <f>C15+C19+C16</f>
        <v>301645530</v>
      </c>
      <c r="D14" s="18">
        <f t="shared" si="0"/>
        <v>0</v>
      </c>
      <c r="E14" s="18">
        <f t="shared" si="1"/>
        <v>0</v>
      </c>
      <c r="F14" s="32">
        <f>F15+F19+F16</f>
        <v>301645530</v>
      </c>
    </row>
    <row r="15" spans="1:6" ht="31.5" x14ac:dyDescent="0.2">
      <c r="A15" s="14" t="s">
        <v>22</v>
      </c>
      <c r="B15" s="15" t="s">
        <v>23</v>
      </c>
      <c r="C15" s="16">
        <v>103294000</v>
      </c>
      <c r="D15" s="18">
        <f t="shared" si="0"/>
        <v>0</v>
      </c>
      <c r="E15" s="18">
        <f t="shared" si="1"/>
        <v>0</v>
      </c>
      <c r="F15" s="32">
        <v>103294000</v>
      </c>
    </row>
    <row r="16" spans="1:6" ht="15.75" x14ac:dyDescent="0.2">
      <c r="A16" s="14" t="s">
        <v>24</v>
      </c>
      <c r="B16" s="15" t="s">
        <v>25</v>
      </c>
      <c r="C16" s="16">
        <f t="shared" ref="C16:C22" si="2">C17+C18</f>
        <v>66116530</v>
      </c>
      <c r="D16" s="18">
        <f t="shared" si="0"/>
        <v>0</v>
      </c>
      <c r="E16" s="18">
        <f t="shared" si="1"/>
        <v>0</v>
      </c>
      <c r="F16" s="32">
        <f t="shared" ref="F16:F22" si="3">F17+F18</f>
        <v>66116530</v>
      </c>
    </row>
    <row r="17" spans="1:6" ht="15.75" x14ac:dyDescent="0.2">
      <c r="A17" s="14" t="s">
        <v>26</v>
      </c>
      <c r="B17" s="15" t="s">
        <v>27</v>
      </c>
      <c r="C17" s="16">
        <v>27683530</v>
      </c>
      <c r="D17" s="18">
        <f t="shared" si="0"/>
        <v>0</v>
      </c>
      <c r="E17" s="18">
        <f t="shared" si="1"/>
        <v>0</v>
      </c>
      <c r="F17" s="32">
        <v>27683530</v>
      </c>
    </row>
    <row r="18" spans="1:6" ht="15.75" x14ac:dyDescent="0.2">
      <c r="A18" s="14" t="s">
        <v>28</v>
      </c>
      <c r="B18" s="15" t="s">
        <v>29</v>
      </c>
      <c r="C18" s="16">
        <v>38433000</v>
      </c>
      <c r="D18" s="18">
        <f t="shared" si="0"/>
        <v>0</v>
      </c>
      <c r="E18" s="18">
        <f t="shared" si="1"/>
        <v>0</v>
      </c>
      <c r="F18" s="32">
        <v>38433000</v>
      </c>
    </row>
    <row r="19" spans="1:6" ht="15.75" x14ac:dyDescent="0.2">
      <c r="A19" s="14" t="s">
        <v>30</v>
      </c>
      <c r="B19" s="15" t="s">
        <v>31</v>
      </c>
      <c r="C19" s="16">
        <f t="shared" si="2"/>
        <v>132235000</v>
      </c>
      <c r="D19" s="18">
        <f t="shared" si="0"/>
        <v>0</v>
      </c>
      <c r="E19" s="18">
        <f t="shared" si="1"/>
        <v>0</v>
      </c>
      <c r="F19" s="32">
        <f t="shared" si="3"/>
        <v>132235000</v>
      </c>
    </row>
    <row r="20" spans="1:6" ht="31.5" x14ac:dyDescent="0.2">
      <c r="A20" s="14" t="s">
        <v>32</v>
      </c>
      <c r="B20" s="15" t="s">
        <v>33</v>
      </c>
      <c r="C20" s="16">
        <f>73682000+37468000</f>
        <v>111150000</v>
      </c>
      <c r="D20" s="18">
        <f t="shared" si="0"/>
        <v>0</v>
      </c>
      <c r="E20" s="18">
        <f t="shared" si="1"/>
        <v>0</v>
      </c>
      <c r="F20" s="32">
        <f>73682000+37468000</f>
        <v>111150000</v>
      </c>
    </row>
    <row r="21" spans="1:6" ht="31.5" x14ac:dyDescent="0.2">
      <c r="A21" s="14" t="s">
        <v>34</v>
      </c>
      <c r="B21" s="15" t="s">
        <v>35</v>
      </c>
      <c r="C21" s="16">
        <v>21085000</v>
      </c>
      <c r="D21" s="18">
        <f t="shared" si="0"/>
        <v>0</v>
      </c>
      <c r="E21" s="18">
        <f t="shared" si="1"/>
        <v>0</v>
      </c>
      <c r="F21" s="32">
        <v>21085000</v>
      </c>
    </row>
    <row r="22" spans="1:6" ht="15.75" x14ac:dyDescent="0.2">
      <c r="A22" s="14" t="s">
        <v>36</v>
      </c>
      <c r="B22" s="20" t="s">
        <v>37</v>
      </c>
      <c r="C22" s="16">
        <f t="shared" si="2"/>
        <v>65010000</v>
      </c>
      <c r="D22" s="18">
        <f t="shared" si="0"/>
        <v>0</v>
      </c>
      <c r="E22" s="18">
        <f t="shared" si="1"/>
        <v>0</v>
      </c>
      <c r="F22" s="32">
        <f t="shared" si="3"/>
        <v>65010000</v>
      </c>
    </row>
    <row r="23" spans="1:6" ht="31.5" x14ac:dyDescent="0.2">
      <c r="A23" s="14" t="s">
        <v>38</v>
      </c>
      <c r="B23" s="15" t="s">
        <v>39</v>
      </c>
      <c r="C23" s="16">
        <f>21005860+43994140</f>
        <v>65000000</v>
      </c>
      <c r="D23" s="18">
        <f t="shared" si="0"/>
        <v>0</v>
      </c>
      <c r="E23" s="18">
        <f t="shared" si="1"/>
        <v>0</v>
      </c>
      <c r="F23" s="32">
        <f>21005860+43994140</f>
        <v>65000000</v>
      </c>
    </row>
    <row r="24" spans="1:6" ht="15.75" x14ac:dyDescent="0.2">
      <c r="A24" s="14" t="s">
        <v>40</v>
      </c>
      <c r="B24" s="15" t="s">
        <v>41</v>
      </c>
      <c r="C24" s="16">
        <f>5000+5000</f>
        <v>10000</v>
      </c>
      <c r="D24" s="18">
        <f t="shared" si="0"/>
        <v>0</v>
      </c>
      <c r="E24" s="18">
        <f t="shared" si="1"/>
        <v>0</v>
      </c>
      <c r="F24" s="32">
        <f>5000+5000</f>
        <v>10000</v>
      </c>
    </row>
    <row r="25" spans="1:6" ht="15.75" x14ac:dyDescent="0.2">
      <c r="A25" s="9"/>
      <c r="B25" s="21" t="s">
        <v>42</v>
      </c>
      <c r="C25" s="11">
        <f>C26+C37+C39+C42+C46+C79+C80</f>
        <v>522411450</v>
      </c>
      <c r="D25" s="12">
        <f t="shared" si="0"/>
        <v>827060</v>
      </c>
      <c r="E25" s="12">
        <f t="shared" si="1"/>
        <v>0.15831582558153912</v>
      </c>
      <c r="F25" s="31">
        <f>F26+F37+F39+F42+F46+F78</f>
        <v>523238510</v>
      </c>
    </row>
    <row r="26" spans="1:6" ht="15.75" x14ac:dyDescent="0.2">
      <c r="A26" s="14" t="s">
        <v>43</v>
      </c>
      <c r="B26" s="19" t="s">
        <v>44</v>
      </c>
      <c r="C26" s="16">
        <f>SUM(C27:C36)</f>
        <v>387672710</v>
      </c>
      <c r="D26" s="18">
        <f t="shared" si="0"/>
        <v>552700</v>
      </c>
      <c r="E26" s="18">
        <f t="shared" si="1"/>
        <v>0.1425687147284691</v>
      </c>
      <c r="F26" s="32">
        <f>SUM(F27:F36)</f>
        <v>388225410</v>
      </c>
    </row>
    <row r="27" spans="1:6" ht="31.5" x14ac:dyDescent="0.2">
      <c r="A27" s="14" t="s">
        <v>45</v>
      </c>
      <c r="B27" s="15" t="s">
        <v>46</v>
      </c>
      <c r="C27" s="16">
        <f>1273000-176804</f>
        <v>1096196</v>
      </c>
      <c r="D27" s="18">
        <f t="shared" si="0"/>
        <v>0</v>
      </c>
      <c r="E27" s="18">
        <f t="shared" si="1"/>
        <v>0</v>
      </c>
      <c r="F27" s="32">
        <f>1273000-176804</f>
        <v>1096196</v>
      </c>
    </row>
    <row r="28" spans="1:6" ht="47.25" x14ac:dyDescent="0.2">
      <c r="A28" s="14" t="s">
        <v>47</v>
      </c>
      <c r="B28" s="22" t="s">
        <v>48</v>
      </c>
      <c r="C28" s="16">
        <f>311132800-70632800</f>
        <v>240500000</v>
      </c>
      <c r="D28" s="18">
        <f t="shared" si="0"/>
        <v>0</v>
      </c>
      <c r="E28" s="18">
        <f t="shared" si="1"/>
        <v>0</v>
      </c>
      <c r="F28" s="32">
        <f>311132800-70632800</f>
        <v>240500000</v>
      </c>
    </row>
    <row r="29" spans="1:6" ht="47.25" x14ac:dyDescent="0.2">
      <c r="A29" s="14" t="s">
        <v>49</v>
      </c>
      <c r="B29" s="15" t="s">
        <v>50</v>
      </c>
      <c r="C29" s="16">
        <f>659688+2348512</f>
        <v>3008200</v>
      </c>
      <c r="D29" s="18">
        <f>F29-C29</f>
        <v>52700</v>
      </c>
      <c r="E29" s="16">
        <f>E30+E44+E46+E50+E54</f>
        <v>10.301726971761539</v>
      </c>
      <c r="F29" s="32">
        <f>3008200+52700</f>
        <v>3060900</v>
      </c>
    </row>
    <row r="30" spans="1:6" ht="47.25" x14ac:dyDescent="0.2">
      <c r="A30" s="14" t="s">
        <v>51</v>
      </c>
      <c r="B30" s="15" t="s">
        <v>52</v>
      </c>
      <c r="C30" s="16">
        <f>191522-85567</f>
        <v>105955</v>
      </c>
      <c r="D30" s="18">
        <f t="shared" si="0"/>
        <v>0</v>
      </c>
      <c r="E30" s="18">
        <f t="shared" si="1"/>
        <v>0</v>
      </c>
      <c r="F30" s="32">
        <f>191522-85567</f>
        <v>105955</v>
      </c>
    </row>
    <row r="31" spans="1:6" ht="31.5" x14ac:dyDescent="0.2">
      <c r="A31" s="14" t="s">
        <v>53</v>
      </c>
      <c r="B31" s="15" t="s">
        <v>54</v>
      </c>
      <c r="C31" s="16">
        <f>92003300+37146700</f>
        <v>129150000</v>
      </c>
      <c r="D31" s="18">
        <f t="shared" si="0"/>
        <v>0</v>
      </c>
      <c r="E31" s="18">
        <v>0</v>
      </c>
      <c r="F31" s="32">
        <f>92003300+37146700</f>
        <v>129150000</v>
      </c>
    </row>
    <row r="32" spans="1:6" ht="63" x14ac:dyDescent="0.2">
      <c r="A32" s="14" t="s">
        <v>55</v>
      </c>
      <c r="B32" s="15" t="s">
        <v>56</v>
      </c>
      <c r="C32" s="16">
        <f>36+2485</f>
        <v>2521</v>
      </c>
      <c r="D32" s="18">
        <f t="shared" si="0"/>
        <v>0</v>
      </c>
      <c r="E32" s="18">
        <v>0</v>
      </c>
      <c r="F32" s="32">
        <f>36+2485</f>
        <v>2521</v>
      </c>
    </row>
    <row r="33" spans="1:6" ht="63" x14ac:dyDescent="0.2">
      <c r="A33" s="14" t="s">
        <v>57</v>
      </c>
      <c r="B33" s="15" t="s">
        <v>58</v>
      </c>
      <c r="C33" s="16">
        <f>14+74</f>
        <v>88</v>
      </c>
      <c r="D33" s="18">
        <f t="shared" si="0"/>
        <v>0</v>
      </c>
      <c r="E33" s="18">
        <v>0</v>
      </c>
      <c r="F33" s="32">
        <f>14+74</f>
        <v>88</v>
      </c>
    </row>
    <row r="34" spans="1:6" ht="31.5" x14ac:dyDescent="0.2">
      <c r="A34" s="14" t="s">
        <v>59</v>
      </c>
      <c r="B34" s="15" t="s">
        <v>60</v>
      </c>
      <c r="C34" s="16">
        <v>1434750</v>
      </c>
      <c r="D34" s="18"/>
      <c r="E34" s="18"/>
      <c r="F34" s="32">
        <v>1434750</v>
      </c>
    </row>
    <row r="35" spans="1:6" ht="47.25" x14ac:dyDescent="0.2">
      <c r="A35" s="14" t="s">
        <v>61</v>
      </c>
      <c r="B35" s="15" t="s">
        <v>62</v>
      </c>
      <c r="C35" s="16">
        <f>6000000+3000000</f>
        <v>9000000</v>
      </c>
      <c r="D35" s="18">
        <f t="shared" si="0"/>
        <v>500000</v>
      </c>
      <c r="E35" s="18">
        <f t="shared" si="1"/>
        <v>5.5555555555555571</v>
      </c>
      <c r="F35" s="32">
        <f>9000000+500000</f>
        <v>9500000</v>
      </c>
    </row>
    <row r="36" spans="1:6" ht="63" x14ac:dyDescent="0.2">
      <c r="A36" s="14" t="s">
        <v>63</v>
      </c>
      <c r="B36" s="15" t="s">
        <v>64</v>
      </c>
      <c r="C36" s="16">
        <f>3859500-484500</f>
        <v>3375000</v>
      </c>
      <c r="D36" s="18">
        <f t="shared" si="0"/>
        <v>0</v>
      </c>
      <c r="E36" s="18">
        <f t="shared" si="1"/>
        <v>0</v>
      </c>
      <c r="F36" s="32">
        <f>3859500-484500</f>
        <v>3375000</v>
      </c>
    </row>
    <row r="37" spans="1:6" ht="15.75" x14ac:dyDescent="0.2">
      <c r="A37" s="14" t="s">
        <v>65</v>
      </c>
      <c r="B37" s="19" t="s">
        <v>66</v>
      </c>
      <c r="C37" s="16">
        <f>C38</f>
        <v>7018608</v>
      </c>
      <c r="D37" s="18">
        <f t="shared" si="0"/>
        <v>-3000000</v>
      </c>
      <c r="E37" s="18">
        <f t="shared" si="1"/>
        <v>-42.743518372873936</v>
      </c>
      <c r="F37" s="32">
        <f>F38</f>
        <v>4018608</v>
      </c>
    </row>
    <row r="38" spans="1:6" ht="15.75" x14ac:dyDescent="0.2">
      <c r="A38" s="14" t="s">
        <v>67</v>
      </c>
      <c r="B38" s="15" t="s">
        <v>68</v>
      </c>
      <c r="C38" s="16">
        <v>7018608</v>
      </c>
      <c r="D38" s="18">
        <f t="shared" si="0"/>
        <v>-3000000</v>
      </c>
      <c r="E38" s="18">
        <f t="shared" si="1"/>
        <v>-42.743518372873936</v>
      </c>
      <c r="F38" s="32">
        <f>7018608-3000000</f>
        <v>4018608</v>
      </c>
    </row>
    <row r="39" spans="1:6" ht="15.75" x14ac:dyDescent="0.2">
      <c r="A39" s="14" t="s">
        <v>69</v>
      </c>
      <c r="B39" s="19" t="s">
        <v>70</v>
      </c>
      <c r="C39" s="16">
        <f>C40+C41</f>
        <v>9362158</v>
      </c>
      <c r="D39" s="18">
        <f t="shared" si="0"/>
        <v>425060</v>
      </c>
      <c r="E39" s="18">
        <f t="shared" si="1"/>
        <v>4.540192549623697</v>
      </c>
      <c r="F39" s="32">
        <f>F40+F41</f>
        <v>9787218</v>
      </c>
    </row>
    <row r="40" spans="1:6" ht="15.75" x14ac:dyDescent="0.2">
      <c r="A40" s="14" t="s">
        <v>71</v>
      </c>
      <c r="B40" s="15" t="s">
        <v>72</v>
      </c>
      <c r="C40" s="16">
        <f>5352000+127100</f>
        <v>5479100</v>
      </c>
      <c r="D40" s="18">
        <v>0</v>
      </c>
      <c r="E40" s="18">
        <f t="shared" si="1"/>
        <v>8.0305159606504759</v>
      </c>
      <c r="F40" s="32">
        <f>5479100+500000-60000</f>
        <v>5919100</v>
      </c>
    </row>
    <row r="41" spans="1:6" ht="15.75" x14ac:dyDescent="0.2">
      <c r="A41" s="14" t="s">
        <v>73</v>
      </c>
      <c r="B41" s="15" t="s">
        <v>74</v>
      </c>
      <c r="C41" s="16">
        <f>3659139+204+118478+105237</f>
        <v>3883058</v>
      </c>
      <c r="D41" s="18">
        <f t="shared" si="0"/>
        <v>-14940</v>
      </c>
      <c r="E41" s="18">
        <f t="shared" si="1"/>
        <v>-0.38474830919342651</v>
      </c>
      <c r="F41" s="32">
        <f>3883058-929+1518-15529</f>
        <v>3868118</v>
      </c>
    </row>
    <row r="42" spans="1:6" ht="15.75" x14ac:dyDescent="0.2">
      <c r="A42" s="14" t="s">
        <v>75</v>
      </c>
      <c r="B42" s="19" t="s">
        <v>76</v>
      </c>
      <c r="C42" s="16">
        <f>SUM(C43:C45)</f>
        <v>87609607</v>
      </c>
      <c r="D42" s="18">
        <f t="shared" si="0"/>
        <v>29947</v>
      </c>
      <c r="E42" s="18">
        <f t="shared" si="1"/>
        <v>3.4182324319758095E-2</v>
      </c>
      <c r="F42" s="32">
        <f>SUM(F43:F45)</f>
        <v>87639554</v>
      </c>
    </row>
    <row r="43" spans="1:6" ht="15.75" x14ac:dyDescent="0.2">
      <c r="A43" s="14" t="s">
        <v>77</v>
      </c>
      <c r="B43" s="15" t="s">
        <v>78</v>
      </c>
      <c r="C43" s="16">
        <f>66799900+8485600</f>
        <v>75285500</v>
      </c>
      <c r="D43" s="18">
        <f t="shared" si="0"/>
        <v>0</v>
      </c>
      <c r="E43" s="18">
        <f t="shared" si="1"/>
        <v>0</v>
      </c>
      <c r="F43" s="32">
        <f>66799900+8485600</f>
        <v>75285500</v>
      </c>
    </row>
    <row r="44" spans="1:6" ht="47.25" x14ac:dyDescent="0.2">
      <c r="A44" s="14" t="s">
        <v>79</v>
      </c>
      <c r="B44" s="22" t="s">
        <v>80</v>
      </c>
      <c r="C44" s="16">
        <f>2002553+1148500</f>
        <v>3151053</v>
      </c>
      <c r="D44" s="18">
        <f t="shared" si="0"/>
        <v>29947</v>
      </c>
      <c r="E44" s="18">
        <f t="shared" si="1"/>
        <v>0.95038071400259128</v>
      </c>
      <c r="F44" s="32">
        <f>3151053+29947</f>
        <v>3181000</v>
      </c>
    </row>
    <row r="45" spans="1:6" ht="31.5" x14ac:dyDescent="0.2">
      <c r="A45" s="14" t="s">
        <v>81</v>
      </c>
      <c r="B45" s="15" t="s">
        <v>82</v>
      </c>
      <c r="C45" s="16">
        <f>7500000+1673054</f>
        <v>9173054</v>
      </c>
      <c r="D45" s="18">
        <f t="shared" si="0"/>
        <v>0</v>
      </c>
      <c r="E45" s="18">
        <f t="shared" si="1"/>
        <v>0</v>
      </c>
      <c r="F45" s="32">
        <f>7500000+1673054</f>
        <v>9173054</v>
      </c>
    </row>
    <row r="46" spans="1:6" ht="15.75" x14ac:dyDescent="0.2">
      <c r="A46" s="14" t="s">
        <v>83</v>
      </c>
      <c r="B46" s="19" t="s">
        <v>84</v>
      </c>
      <c r="C46" s="16">
        <f>SUM(C47:C77)</f>
        <v>30149167</v>
      </c>
      <c r="D46" s="18">
        <f t="shared" si="0"/>
        <v>2819353</v>
      </c>
      <c r="E46" s="18">
        <f t="shared" si="1"/>
        <v>9.3513462577589479</v>
      </c>
      <c r="F46" s="32">
        <f>SUM(F47:F77)</f>
        <v>32968520</v>
      </c>
    </row>
    <row r="47" spans="1:6" ht="47.25" x14ac:dyDescent="0.2">
      <c r="A47" s="14" t="s">
        <v>85</v>
      </c>
      <c r="B47" s="15" t="s">
        <v>86</v>
      </c>
      <c r="C47" s="16">
        <v>101400</v>
      </c>
      <c r="D47" s="18">
        <v>0</v>
      </c>
      <c r="E47" s="18"/>
      <c r="F47" s="32">
        <f>93700+7700</f>
        <v>101400</v>
      </c>
    </row>
    <row r="48" spans="1:6" ht="63" x14ac:dyDescent="0.2">
      <c r="A48" s="14" t="s">
        <v>87</v>
      </c>
      <c r="B48" s="15" t="s">
        <v>88</v>
      </c>
      <c r="C48" s="16">
        <v>506200</v>
      </c>
      <c r="D48" s="18">
        <f t="shared" si="0"/>
        <v>0</v>
      </c>
      <c r="E48" s="18">
        <f t="shared" si="1"/>
        <v>0</v>
      </c>
      <c r="F48" s="32">
        <f>314400+191800</f>
        <v>506200</v>
      </c>
    </row>
    <row r="49" spans="1:6" ht="63" x14ac:dyDescent="0.2">
      <c r="A49" s="14" t="s">
        <v>89</v>
      </c>
      <c r="B49" s="15" t="s">
        <v>90</v>
      </c>
      <c r="C49" s="16">
        <v>11000</v>
      </c>
      <c r="D49" s="18">
        <f t="shared" si="0"/>
        <v>0</v>
      </c>
      <c r="E49" s="18">
        <f t="shared" si="1"/>
        <v>0</v>
      </c>
      <c r="F49" s="32">
        <f>8300+2300+16700+6700-8300-2300+11000-23400</f>
        <v>11000</v>
      </c>
    </row>
    <row r="50" spans="1:6" ht="63" x14ac:dyDescent="0.2">
      <c r="A50" s="14" t="s">
        <v>91</v>
      </c>
      <c r="B50" s="15" t="s">
        <v>92</v>
      </c>
      <c r="C50" s="16">
        <v>169400</v>
      </c>
      <c r="D50" s="18">
        <f t="shared" si="0"/>
        <v>0</v>
      </c>
      <c r="E50" s="18">
        <f t="shared" si="1"/>
        <v>0</v>
      </c>
      <c r="F50" s="32">
        <f>22500+146900</f>
        <v>169400</v>
      </c>
    </row>
    <row r="51" spans="1:6" ht="78.75" x14ac:dyDescent="0.2">
      <c r="A51" s="14" t="s">
        <v>93</v>
      </c>
      <c r="B51" s="15" t="s">
        <v>94</v>
      </c>
      <c r="C51" s="16">
        <v>34500</v>
      </c>
      <c r="D51" s="18">
        <f t="shared" si="0"/>
        <v>0</v>
      </c>
      <c r="E51" s="18">
        <f t="shared" si="1"/>
        <v>0</v>
      </c>
      <c r="F51" s="32">
        <f>270000+1500-237000</f>
        <v>34500</v>
      </c>
    </row>
    <row r="52" spans="1:6" ht="63" x14ac:dyDescent="0.2">
      <c r="A52" s="14" t="s">
        <v>95</v>
      </c>
      <c r="B52" s="15" t="s">
        <v>96</v>
      </c>
      <c r="C52" s="16">
        <v>67800</v>
      </c>
      <c r="D52" s="18">
        <f t="shared" si="0"/>
        <v>0</v>
      </c>
      <c r="E52" s="18">
        <f t="shared" si="1"/>
        <v>0</v>
      </c>
      <c r="F52" s="32">
        <f>117300-49500</f>
        <v>67800</v>
      </c>
    </row>
    <row r="53" spans="1:6" ht="63" x14ac:dyDescent="0.2">
      <c r="A53" s="14" t="s">
        <v>97</v>
      </c>
      <c r="B53" s="15" t="s">
        <v>98</v>
      </c>
      <c r="C53" s="16">
        <v>128422</v>
      </c>
      <c r="D53" s="18">
        <f t="shared" ref="D53:D54" si="4">F53-C53</f>
        <v>0</v>
      </c>
      <c r="E53" s="18">
        <f t="shared" ref="E53:E54" si="5">(F53/C53)*100-100</f>
        <v>0</v>
      </c>
      <c r="F53" s="32">
        <f>58300+690000+4400-561578-58300-4400</f>
        <v>128422</v>
      </c>
    </row>
    <row r="54" spans="1:6" ht="63" x14ac:dyDescent="0.2">
      <c r="A54" s="14" t="s">
        <v>99</v>
      </c>
      <c r="B54" s="15" t="s">
        <v>100</v>
      </c>
      <c r="C54" s="16">
        <v>1400</v>
      </c>
      <c r="D54" s="18">
        <f t="shared" si="4"/>
        <v>0</v>
      </c>
      <c r="E54" s="18">
        <f t="shared" si="5"/>
        <v>0</v>
      </c>
      <c r="F54" s="32">
        <f>8700-7300</f>
        <v>1400</v>
      </c>
    </row>
    <row r="55" spans="1:6" ht="63" x14ac:dyDescent="0.2">
      <c r="A55" s="14" t="s">
        <v>101</v>
      </c>
      <c r="B55" s="15" t="s">
        <v>102</v>
      </c>
      <c r="C55" s="16">
        <v>3500</v>
      </c>
      <c r="D55" s="18">
        <f t="shared" si="0"/>
        <v>0</v>
      </c>
      <c r="E55" s="18">
        <f t="shared" si="1"/>
        <v>0</v>
      </c>
      <c r="F55" s="32">
        <f>1000+2500</f>
        <v>3500</v>
      </c>
    </row>
    <row r="56" spans="1:6" ht="63" x14ac:dyDescent="0.2">
      <c r="A56" s="14" t="s">
        <v>103</v>
      </c>
      <c r="B56" s="15" t="s">
        <v>104</v>
      </c>
      <c r="C56" s="16">
        <v>0</v>
      </c>
      <c r="D56" s="18">
        <f t="shared" si="0"/>
        <v>0</v>
      </c>
      <c r="E56" s="18"/>
      <c r="F56" s="32">
        <f>13400-13400</f>
        <v>0</v>
      </c>
    </row>
    <row r="57" spans="1:6" ht="47.25" x14ac:dyDescent="0.2">
      <c r="A57" s="14" t="s">
        <v>105</v>
      </c>
      <c r="B57" s="15" t="s">
        <v>106</v>
      </c>
      <c r="C57" s="16">
        <v>25900</v>
      </c>
      <c r="D57" s="18">
        <f t="shared" si="0"/>
        <v>0</v>
      </c>
      <c r="E57" s="18">
        <f t="shared" si="1"/>
        <v>0</v>
      </c>
      <c r="F57" s="32">
        <f>1700+24200</f>
        <v>25900</v>
      </c>
    </row>
    <row r="58" spans="1:6" ht="78.75" x14ac:dyDescent="0.2">
      <c r="A58" s="14" t="s">
        <v>107</v>
      </c>
      <c r="B58" s="15" t="s">
        <v>108</v>
      </c>
      <c r="C58" s="16">
        <v>308140</v>
      </c>
      <c r="D58" s="18">
        <f t="shared" si="0"/>
        <v>0</v>
      </c>
      <c r="E58" s="18">
        <f t="shared" si="1"/>
        <v>0</v>
      </c>
      <c r="F58" s="32">
        <f>116700+191440</f>
        <v>308140</v>
      </c>
    </row>
    <row r="59" spans="1:6" ht="63" x14ac:dyDescent="0.2">
      <c r="A59" s="14" t="s">
        <v>109</v>
      </c>
      <c r="B59" s="15" t="s">
        <v>110</v>
      </c>
      <c r="C59" s="16">
        <v>641800</v>
      </c>
      <c r="D59" s="18">
        <f t="shared" si="0"/>
        <v>0</v>
      </c>
      <c r="E59" s="18">
        <f t="shared" si="1"/>
        <v>0</v>
      </c>
      <c r="F59" s="32">
        <f>451900+189900</f>
        <v>641800</v>
      </c>
    </row>
    <row r="60" spans="1:6" ht="94.5" x14ac:dyDescent="0.2">
      <c r="A60" s="14" t="s">
        <v>111</v>
      </c>
      <c r="B60" s="15" t="s">
        <v>112</v>
      </c>
      <c r="C60" s="16">
        <v>33700</v>
      </c>
      <c r="D60" s="18">
        <f t="shared" si="0"/>
        <v>0</v>
      </c>
      <c r="E60" s="18">
        <f t="shared" si="1"/>
        <v>0</v>
      </c>
      <c r="F60" s="32">
        <f>57200-23500</f>
        <v>33700</v>
      </c>
    </row>
    <row r="61" spans="1:6" ht="94.5" x14ac:dyDescent="0.2">
      <c r="A61" s="14" t="s">
        <v>113</v>
      </c>
      <c r="B61" s="15" t="s">
        <v>114</v>
      </c>
      <c r="C61" s="16">
        <v>110000</v>
      </c>
      <c r="D61" s="18">
        <f t="shared" si="0"/>
        <v>121740</v>
      </c>
      <c r="E61" s="18">
        <f t="shared" si="1"/>
        <v>110.67272727272726</v>
      </c>
      <c r="F61" s="32">
        <f>110000+37170+84570</f>
        <v>231740</v>
      </c>
    </row>
    <row r="62" spans="1:6" ht="63" x14ac:dyDescent="0.2">
      <c r="A62" s="14" t="s">
        <v>115</v>
      </c>
      <c r="B62" s="15" t="s">
        <v>116</v>
      </c>
      <c r="C62" s="16">
        <v>8500</v>
      </c>
      <c r="D62" s="18">
        <f t="shared" si="0"/>
        <v>0</v>
      </c>
      <c r="E62" s="18"/>
      <c r="F62" s="32">
        <v>8500</v>
      </c>
    </row>
    <row r="63" spans="1:6" ht="63" x14ac:dyDescent="0.2">
      <c r="A63" s="14" t="s">
        <v>117</v>
      </c>
      <c r="B63" s="15" t="s">
        <v>118</v>
      </c>
      <c r="C63" s="16">
        <v>19900</v>
      </c>
      <c r="D63" s="18">
        <f t="shared" si="0"/>
        <v>0</v>
      </c>
      <c r="E63" s="18"/>
      <c r="F63" s="32">
        <f>16300+3600</f>
        <v>19900</v>
      </c>
    </row>
    <row r="64" spans="1:6" ht="78.75" x14ac:dyDescent="0.2">
      <c r="A64" s="14" t="s">
        <v>119</v>
      </c>
      <c r="B64" s="15" t="s">
        <v>120</v>
      </c>
      <c r="C64" s="16">
        <v>4000</v>
      </c>
      <c r="D64" s="18">
        <f t="shared" si="0"/>
        <v>0</v>
      </c>
      <c r="E64" s="18">
        <f t="shared" si="1"/>
        <v>0</v>
      </c>
      <c r="F64" s="32">
        <f>11700-7700</f>
        <v>4000</v>
      </c>
    </row>
    <row r="65" spans="1:6" ht="63" x14ac:dyDescent="0.2">
      <c r="A65" s="14" t="s">
        <v>121</v>
      </c>
      <c r="B65" s="15" t="s">
        <v>122</v>
      </c>
      <c r="C65" s="16">
        <v>0</v>
      </c>
      <c r="D65" s="18">
        <f t="shared" si="0"/>
        <v>0</v>
      </c>
      <c r="E65" s="18" t="e">
        <f t="shared" si="1"/>
        <v>#DIV/0!</v>
      </c>
      <c r="F65" s="32">
        <f>5000-5000</f>
        <v>0</v>
      </c>
    </row>
    <row r="66" spans="1:6" ht="47.25" x14ac:dyDescent="0.2">
      <c r="A66" s="14" t="s">
        <v>123</v>
      </c>
      <c r="B66" s="15" t="s">
        <v>124</v>
      </c>
      <c r="C66" s="16">
        <v>1792100</v>
      </c>
      <c r="D66" s="18">
        <f t="shared" si="0"/>
        <v>0</v>
      </c>
      <c r="E66" s="18">
        <f t="shared" si="1"/>
        <v>0</v>
      </c>
      <c r="F66" s="32">
        <f>1948200-156100</f>
        <v>1792100</v>
      </c>
    </row>
    <row r="67" spans="1:6" ht="47.25" x14ac:dyDescent="0.2">
      <c r="A67" s="14" t="s">
        <v>125</v>
      </c>
      <c r="B67" s="15" t="s">
        <v>126</v>
      </c>
      <c r="C67" s="16">
        <v>25000</v>
      </c>
      <c r="D67" s="18">
        <f t="shared" si="0"/>
        <v>40000</v>
      </c>
      <c r="E67" s="18"/>
      <c r="F67" s="32">
        <f>25000+40000</f>
        <v>65000</v>
      </c>
    </row>
    <row r="68" spans="1:6" ht="63" x14ac:dyDescent="0.2">
      <c r="A68" s="14" t="s">
        <v>127</v>
      </c>
      <c r="B68" s="15" t="s">
        <v>128</v>
      </c>
      <c r="C68" s="16">
        <v>4355715</v>
      </c>
      <c r="D68" s="18">
        <f t="shared" si="0"/>
        <v>-29600</v>
      </c>
      <c r="E68" s="18">
        <f t="shared" si="1"/>
        <v>-0.67956695972991099</v>
      </c>
      <c r="F68" s="32">
        <f>4355715-29600</f>
        <v>4326115</v>
      </c>
    </row>
    <row r="69" spans="1:6" ht="94.5" x14ac:dyDescent="0.2">
      <c r="A69" s="14" t="s">
        <v>129</v>
      </c>
      <c r="B69" s="15" t="s">
        <v>130</v>
      </c>
      <c r="C69" s="16">
        <v>30800</v>
      </c>
      <c r="D69" s="18">
        <f t="shared" si="0"/>
        <v>0</v>
      </c>
      <c r="E69" s="18">
        <f t="shared" si="1"/>
        <v>0</v>
      </c>
      <c r="F69" s="32">
        <f>184400-153600</f>
        <v>30800</v>
      </c>
    </row>
    <row r="70" spans="1:6" ht="47.25" x14ac:dyDescent="0.2">
      <c r="A70" s="14" t="s">
        <v>131</v>
      </c>
      <c r="B70" s="23" t="s">
        <v>132</v>
      </c>
      <c r="C70" s="16">
        <v>340100</v>
      </c>
      <c r="D70" s="18">
        <f t="shared" ref="D70" si="6">F70-C70</f>
        <v>0</v>
      </c>
      <c r="E70" s="18">
        <f t="shared" ref="E70" si="7">(F70/C70)*100-100</f>
        <v>0</v>
      </c>
      <c r="F70" s="32">
        <f>347700-7600</f>
        <v>340100</v>
      </c>
    </row>
    <row r="71" spans="1:6" ht="47.25" x14ac:dyDescent="0.2">
      <c r="A71" s="14" t="s">
        <v>133</v>
      </c>
      <c r="B71" s="23" t="s">
        <v>134</v>
      </c>
      <c r="C71" s="16">
        <v>1182000</v>
      </c>
      <c r="D71" s="18">
        <v>0</v>
      </c>
      <c r="E71" s="18"/>
      <c r="F71" s="32">
        <f>1182000+29480+20000+400000</f>
        <v>1631480</v>
      </c>
    </row>
    <row r="72" spans="1:6" ht="47.25" x14ac:dyDescent="0.2">
      <c r="A72" s="14" t="s">
        <v>135</v>
      </c>
      <c r="B72" s="23" t="s">
        <v>136</v>
      </c>
      <c r="C72" s="16">
        <v>14717252</v>
      </c>
      <c r="D72" s="18">
        <f t="shared" ref="D72:D90" si="8">F72-C72</f>
        <v>710733</v>
      </c>
      <c r="E72" s="18">
        <f t="shared" ref="E72:E90" si="9">(F72/C72)*100-100</f>
        <v>4.8292507324057397</v>
      </c>
      <c r="F72" s="32">
        <f>14717252+350000+360733</f>
        <v>15427985</v>
      </c>
    </row>
    <row r="73" spans="1:6" ht="31.5" x14ac:dyDescent="0.2">
      <c r="A73" s="14" t="s">
        <v>137</v>
      </c>
      <c r="B73" s="23" t="s">
        <v>138</v>
      </c>
      <c r="C73" s="16">
        <v>400000</v>
      </c>
      <c r="D73" s="18">
        <f t="shared" si="8"/>
        <v>0</v>
      </c>
      <c r="E73" s="18"/>
      <c r="F73" s="32">
        <v>400000</v>
      </c>
    </row>
    <row r="74" spans="1:6" ht="47.25" x14ac:dyDescent="0.2">
      <c r="A74" s="14" t="s">
        <v>139</v>
      </c>
      <c r="B74" s="23" t="s">
        <v>140</v>
      </c>
      <c r="C74" s="16">
        <v>150000</v>
      </c>
      <c r="D74" s="18">
        <f t="shared" si="8"/>
        <v>27000</v>
      </c>
      <c r="E74" s="18">
        <f t="shared" si="9"/>
        <v>18</v>
      </c>
      <c r="F74" s="32">
        <f>150000+27000</f>
        <v>177000</v>
      </c>
    </row>
    <row r="75" spans="1:6" ht="94.5" x14ac:dyDescent="0.2">
      <c r="A75" s="14" t="s">
        <v>141</v>
      </c>
      <c r="B75" s="23" t="s">
        <v>142</v>
      </c>
      <c r="C75" s="16">
        <v>14160</v>
      </c>
      <c r="D75" s="18">
        <f t="shared" si="8"/>
        <v>0</v>
      </c>
      <c r="E75" s="18"/>
      <c r="F75" s="32">
        <v>14160</v>
      </c>
    </row>
    <row r="76" spans="1:6" ht="47.25" x14ac:dyDescent="0.2">
      <c r="A76" s="14" t="s">
        <v>143</v>
      </c>
      <c r="B76" s="23" t="s">
        <v>144</v>
      </c>
      <c r="C76" s="16">
        <v>-33522</v>
      </c>
      <c r="D76" s="18">
        <f t="shared" si="8"/>
        <v>0</v>
      </c>
      <c r="E76" s="18"/>
      <c r="F76" s="32">
        <f>-31094-2428</f>
        <v>-33522</v>
      </c>
    </row>
    <row r="77" spans="1:6" ht="31.5" x14ac:dyDescent="0.2">
      <c r="A77" s="14" t="s">
        <v>145</v>
      </c>
      <c r="B77" s="15" t="s">
        <v>146</v>
      </c>
      <c r="C77" s="16">
        <v>5000000</v>
      </c>
      <c r="D77" s="18">
        <f t="shared" si="8"/>
        <v>1500000</v>
      </c>
      <c r="E77" s="18">
        <f t="shared" si="9"/>
        <v>30</v>
      </c>
      <c r="F77" s="32">
        <f>5000000+1500000</f>
        <v>6500000</v>
      </c>
    </row>
    <row r="78" spans="1:6" ht="15.75" x14ac:dyDescent="0.2">
      <c r="A78" s="14" t="s">
        <v>147</v>
      </c>
      <c r="B78" s="15" t="s">
        <v>148</v>
      </c>
      <c r="C78" s="16">
        <f>C80+C79</f>
        <v>599200</v>
      </c>
      <c r="D78" s="16">
        <f>D80</f>
        <v>0</v>
      </c>
      <c r="E78" s="16">
        <f t="shared" ref="E78:E80" si="10">E80</f>
        <v>-1.6816661963063808</v>
      </c>
      <c r="F78" s="32">
        <f>F80+F79</f>
        <v>599200</v>
      </c>
    </row>
    <row r="79" spans="1:6" ht="15.75" x14ac:dyDescent="0.2">
      <c r="A79" s="14" t="s">
        <v>149</v>
      </c>
      <c r="B79" s="24" t="s">
        <v>150</v>
      </c>
      <c r="C79" s="16">
        <v>11200</v>
      </c>
      <c r="D79" s="18">
        <f t="shared" si="8"/>
        <v>0</v>
      </c>
      <c r="E79" s="16">
        <f t="shared" si="10"/>
        <v>-1.6065669136791314</v>
      </c>
      <c r="F79" s="32">
        <v>11200</v>
      </c>
    </row>
    <row r="80" spans="1:6" ht="15.75" x14ac:dyDescent="0.2">
      <c r="A80" s="14" t="s">
        <v>151</v>
      </c>
      <c r="B80" s="24" t="s">
        <v>152</v>
      </c>
      <c r="C80" s="16">
        <v>588000</v>
      </c>
      <c r="D80" s="18">
        <v>0</v>
      </c>
      <c r="E80" s="16">
        <f t="shared" si="10"/>
        <v>-1.6816661963063808</v>
      </c>
      <c r="F80" s="32">
        <f>383000+150000+55000</f>
        <v>588000</v>
      </c>
    </row>
    <row r="81" spans="1:6" ht="15.75" x14ac:dyDescent="0.2">
      <c r="A81" s="9" t="s">
        <v>153</v>
      </c>
      <c r="B81" s="10" t="s">
        <v>154</v>
      </c>
      <c r="C81" s="25">
        <f>C82+C88+C89+C87</f>
        <v>8790021682.1100006</v>
      </c>
      <c r="D81" s="12">
        <f t="shared" si="8"/>
        <v>-141217580.05000114</v>
      </c>
      <c r="E81" s="12">
        <f t="shared" si="9"/>
        <v>-1.6065669136791314</v>
      </c>
      <c r="F81" s="33">
        <f>F82+F88+F89+F87</f>
        <v>8648804102.0599995</v>
      </c>
    </row>
    <row r="82" spans="1:6" ht="15.75" x14ac:dyDescent="0.2">
      <c r="A82" s="14" t="s">
        <v>155</v>
      </c>
      <c r="B82" s="20" t="s">
        <v>156</v>
      </c>
      <c r="C82" s="26">
        <f>C83+C84+C85+C86</f>
        <v>8412132881.1100006</v>
      </c>
      <c r="D82" s="18">
        <f t="shared" si="8"/>
        <v>-141463995.05000114</v>
      </c>
      <c r="E82" s="18">
        <f t="shared" si="9"/>
        <v>-1.6816661963063808</v>
      </c>
      <c r="F82" s="34">
        <f>F83+F84+F85+F86</f>
        <v>8270668886.0599995</v>
      </c>
    </row>
    <row r="83" spans="1:6" ht="15.75" x14ac:dyDescent="0.2">
      <c r="A83" s="14" t="s">
        <v>157</v>
      </c>
      <c r="B83" s="15" t="s">
        <v>158</v>
      </c>
      <c r="C83" s="16">
        <v>449864700</v>
      </c>
      <c r="D83" s="18">
        <f t="shared" si="8"/>
        <v>0</v>
      </c>
      <c r="E83" s="18">
        <f t="shared" si="9"/>
        <v>0</v>
      </c>
      <c r="F83" s="32">
        <v>449864700</v>
      </c>
    </row>
    <row r="84" spans="1:6" ht="15.75" x14ac:dyDescent="0.2">
      <c r="A84" s="14" t="s">
        <v>159</v>
      </c>
      <c r="B84" s="15" t="s">
        <v>160</v>
      </c>
      <c r="C84" s="26">
        <v>3121272981.1100001</v>
      </c>
      <c r="D84" s="18">
        <f t="shared" si="8"/>
        <v>-65567395.050000191</v>
      </c>
      <c r="E84" s="18">
        <f t="shared" si="9"/>
        <v>-2.1006619878112218</v>
      </c>
      <c r="F84" s="34">
        <f>3121272981.11+33274700-4401600-583692.36-36702.69-23778800-12487600-133000-5328000-103200-50106600-529600-1353300</f>
        <v>3055705586.0599999</v>
      </c>
    </row>
    <row r="85" spans="1:6" ht="15.75" x14ac:dyDescent="0.2">
      <c r="A85" s="14" t="s">
        <v>161</v>
      </c>
      <c r="B85" s="15" t="s">
        <v>162</v>
      </c>
      <c r="C85" s="16">
        <v>4734969600</v>
      </c>
      <c r="D85" s="18">
        <f t="shared" si="8"/>
        <v>-74342000</v>
      </c>
      <c r="E85" s="18">
        <f t="shared" si="9"/>
        <v>-1.5700628785452011</v>
      </c>
      <c r="F85" s="32">
        <f>4734969600-15900-354800-1389800-45528700-473700-20358200-6220900</f>
        <v>4660627600</v>
      </c>
    </row>
    <row r="86" spans="1:6" ht="15.75" x14ac:dyDescent="0.2">
      <c r="A86" s="14" t="s">
        <v>163</v>
      </c>
      <c r="B86" s="15" t="s">
        <v>164</v>
      </c>
      <c r="C86" s="16">
        <v>106025600</v>
      </c>
      <c r="D86" s="18">
        <f t="shared" si="8"/>
        <v>-1554600</v>
      </c>
      <c r="E86" s="18">
        <f t="shared" si="9"/>
        <v>-1.4662496604593684</v>
      </c>
      <c r="F86" s="32">
        <f>106025600-1408800-145800</f>
        <v>104471000</v>
      </c>
    </row>
    <row r="87" spans="1:6" ht="15.75" x14ac:dyDescent="0.2">
      <c r="A87" s="14" t="s">
        <v>165</v>
      </c>
      <c r="B87" s="15" t="s">
        <v>166</v>
      </c>
      <c r="C87" s="16">
        <v>377391404</v>
      </c>
      <c r="D87" s="18">
        <f t="shared" si="8"/>
        <v>0</v>
      </c>
      <c r="E87" s="18"/>
      <c r="F87" s="32">
        <f>-22608596+400000000</f>
        <v>377391404</v>
      </c>
    </row>
    <row r="88" spans="1:6" ht="15.75" x14ac:dyDescent="0.2">
      <c r="A88" s="14" t="s">
        <v>167</v>
      </c>
      <c r="B88" s="15" t="s">
        <v>168</v>
      </c>
      <c r="C88" s="16">
        <v>531094</v>
      </c>
      <c r="D88" s="18">
        <f t="shared" si="8"/>
        <v>246415</v>
      </c>
      <c r="E88" s="18">
        <f t="shared" si="9"/>
        <v>46.397624525978443</v>
      </c>
      <c r="F88" s="32">
        <f>531094+246415</f>
        <v>777509</v>
      </c>
    </row>
    <row r="89" spans="1:6" ht="31.5" x14ac:dyDescent="0.2">
      <c r="A89" s="14" t="s">
        <v>169</v>
      </c>
      <c r="B89" s="15" t="s">
        <v>170</v>
      </c>
      <c r="C89" s="16">
        <f>-31094-2603</f>
        <v>-33697</v>
      </c>
      <c r="D89" s="18">
        <f t="shared" si="8"/>
        <v>0</v>
      </c>
      <c r="E89" s="18"/>
      <c r="F89" s="32">
        <f>-31094-2603</f>
        <v>-33697</v>
      </c>
    </row>
    <row r="90" spans="1:6" ht="15.75" x14ac:dyDescent="0.2">
      <c r="A90" s="27"/>
      <c r="B90" s="21" t="s">
        <v>171</v>
      </c>
      <c r="C90" s="28">
        <f>C5+C81</f>
        <v>14829563904.110001</v>
      </c>
      <c r="D90" s="12">
        <f t="shared" si="8"/>
        <v>-30354520.050001144</v>
      </c>
      <c r="E90" s="12">
        <f t="shared" si="9"/>
        <v>-0.20468922920645127</v>
      </c>
      <c r="F90" s="35">
        <f>F5+F81</f>
        <v>14799209384.059999</v>
      </c>
    </row>
  </sheetData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2018-12-18T05:09:39Z</dcterms:created>
  <dcterms:modified xsi:type="dcterms:W3CDTF">2025-12-04T04:56:27Z</dcterms:modified>
</cp:coreProperties>
</file>